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'Sheet1'!$A$1:$P$18</definedName>
  </definedNames>
  <calcPr fullCalcOnLoad="1"/>
</workbook>
</file>

<file path=xl/sharedStrings.xml><?xml version="1.0" encoding="utf-8"?>
<sst xmlns="http://schemas.openxmlformats.org/spreadsheetml/2006/main" count="101" uniqueCount="88">
  <si>
    <t>某工业厂房建筑工程技术经济指标实例分析表</t>
  </si>
  <si>
    <t>工程计税方式</t>
  </si>
  <si>
    <t>增值税一般计税</t>
  </si>
  <si>
    <t>编制时间</t>
  </si>
  <si>
    <t>工程特征</t>
  </si>
  <si>
    <r>
      <t>建筑功能：厂房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　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　　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结构类型：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框架结构</t>
    </r>
  </si>
  <si>
    <t>地下室：-</t>
  </si>
  <si>
    <t>基础类型： 桩基础</t>
  </si>
  <si>
    <t>建筑面积</t>
  </si>
  <si>
    <r>
      <t>m</t>
    </r>
    <r>
      <rPr>
        <vertAlign val="superscript"/>
        <sz val="10"/>
        <rFont val="Times New Roman"/>
        <family val="1"/>
      </rPr>
      <t>2</t>
    </r>
  </si>
  <si>
    <r>
      <t>建筑物高度：　5</t>
    </r>
    <r>
      <rPr>
        <sz val="10"/>
        <rFont val="宋体"/>
        <family val="0"/>
      </rPr>
      <t>3.1</t>
    </r>
    <r>
      <rPr>
        <sz val="10"/>
        <rFont val="宋体"/>
        <family val="0"/>
      </rPr>
      <t>　米</t>
    </r>
  </si>
  <si>
    <t>土方类型： -</t>
  </si>
  <si>
    <t>砌体类型： 蒸压加气混凝土砌块</t>
  </si>
  <si>
    <r>
      <t>总层数：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层，地上主体　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　层，局部</t>
    </r>
    <r>
      <rPr>
        <sz val="10"/>
        <rFont val="Times New Roman"/>
        <family val="1"/>
      </rPr>
      <t xml:space="preserve">     3       </t>
    </r>
    <r>
      <rPr>
        <sz val="10"/>
        <rFont val="宋体"/>
        <family val="0"/>
      </rPr>
      <t>层</t>
    </r>
  </si>
  <si>
    <t>屋面防水： 屋面刚性防水</t>
  </si>
  <si>
    <t>门窗类型： 铝合金门、钢质门、铝合金窗</t>
  </si>
  <si>
    <t>楼地面工程： 水泥砂浆楼地面</t>
  </si>
  <si>
    <t>装饰工程： -</t>
  </si>
  <si>
    <t>工程经济指标</t>
  </si>
  <si>
    <t>工程造价
（万元）</t>
  </si>
  <si>
    <t>单方造价（元）</t>
  </si>
  <si>
    <t>分部分项工程费用</t>
  </si>
  <si>
    <t>措施项目费用</t>
  </si>
  <si>
    <t>其它项目
费用</t>
  </si>
  <si>
    <t>规费</t>
  </si>
  <si>
    <t>税金</t>
  </si>
  <si>
    <t>分部分项工程</t>
  </si>
  <si>
    <r>
      <t>土石方工程</t>
    </r>
    <r>
      <rPr>
        <sz val="10"/>
        <rFont val="Times New Roman"/>
        <family val="1"/>
      </rPr>
      <t xml:space="preserve">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</si>
  <si>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砌筑工程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</si>
  <si>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混凝土工程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</si>
  <si>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钢筋工程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t</t>
    </r>
    <r>
      <rPr>
        <sz val="10"/>
        <rFont val="Times New Roman"/>
        <family val="1"/>
      </rPr>
      <t>)</t>
    </r>
  </si>
  <si>
    <r>
      <t>屋面防水工程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</si>
  <si>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楼地面工程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</si>
  <si>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墙柱面装饰工程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</si>
  <si>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天棚工程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</si>
  <si>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门窗工程(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宋体"/>
        <family val="0"/>
      </rPr>
      <t>)</t>
    </r>
  </si>
  <si>
    <r>
      <t>油漆涂料工程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</si>
  <si>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模板工程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</si>
  <si>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脚手架工程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</si>
  <si>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垂直运输机械费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天</t>
    </r>
    <r>
      <rPr>
        <sz val="10"/>
        <rFont val="Times New Roman"/>
        <family val="1"/>
      </rPr>
      <t>)</t>
    </r>
  </si>
  <si>
    <t>工程量</t>
  </si>
  <si>
    <t>/</t>
  </si>
  <si>
    <r>
      <t>分部分项造价</t>
    </r>
    <r>
      <rPr>
        <sz val="8"/>
        <rFont val="Times New Roman"/>
        <family val="1"/>
      </rPr>
      <t>(</t>
    </r>
    <r>
      <rPr>
        <sz val="8"/>
        <rFont val="宋体"/>
        <family val="0"/>
      </rPr>
      <t>万元</t>
    </r>
    <r>
      <rPr>
        <sz val="8"/>
        <rFont val="Times New Roman"/>
        <family val="1"/>
      </rPr>
      <t>)</t>
    </r>
  </si>
  <si>
    <r>
      <t>单方造价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)</t>
    </r>
  </si>
  <si>
    <t>占总造价比例</t>
  </si>
  <si>
    <t>每百平方米建筑面积主要技术指标</t>
  </si>
  <si>
    <r>
      <t>土方开挖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</si>
  <si>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砖基础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</si>
  <si>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MU10</t>
    </r>
    <r>
      <rPr>
        <sz val="8.5"/>
        <rFont val="宋体"/>
        <family val="0"/>
      </rPr>
      <t xml:space="preserve">长江淤泥烧结砖墙
</t>
    </r>
    <r>
      <rPr>
        <sz val="8.5"/>
        <rFont val="Times New Roman"/>
        <family val="1"/>
      </rPr>
      <t>(m</t>
    </r>
    <r>
      <rPr>
        <vertAlign val="superscript"/>
        <sz val="8.5"/>
        <rFont val="Times New Roman"/>
        <family val="1"/>
      </rPr>
      <t>3</t>
    </r>
    <r>
      <rPr>
        <sz val="8.5"/>
        <rFont val="Times New Roman"/>
        <family val="1"/>
      </rPr>
      <t>)</t>
    </r>
  </si>
  <si>
    <r>
      <t>S1</t>
    </r>
    <r>
      <rPr>
        <sz val="10"/>
        <rFont val="宋体"/>
        <family val="0"/>
      </rPr>
      <t xml:space="preserve">型节能砖墙
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</si>
  <si>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带形基础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</si>
  <si>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构造柱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</si>
  <si>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 xml:space="preserve">矩形柱
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</si>
  <si>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现浇平板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</si>
  <si>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 xml:space="preserve">现浇圈、过梁
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</si>
  <si>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现浇雨篷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</si>
  <si>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砼楼梯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</si>
  <si>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 xml:space="preserve">砼线条
</t>
    </r>
    <r>
      <rPr>
        <sz val="10"/>
        <rFont val="Times New Roman"/>
        <family val="1"/>
      </rPr>
      <t>(m)</t>
    </r>
  </si>
  <si>
    <r>
      <t>屋面刚性防水(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宋体"/>
        <family val="0"/>
      </rPr>
      <t>)</t>
    </r>
  </si>
  <si>
    <r>
      <t>屋面卷材防水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</si>
  <si>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屋面挤塑板保温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</si>
  <si>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屋面排水管</t>
    </r>
    <r>
      <rPr>
        <sz val="10"/>
        <rFont val="Times New Roman"/>
        <family val="1"/>
      </rPr>
      <t>(m</t>
    </r>
    <r>
      <rPr>
        <sz val="10"/>
        <rFont val="Times New Roman"/>
        <family val="1"/>
      </rPr>
      <t>)</t>
    </r>
  </si>
  <si>
    <r>
      <t>瓦屋面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</si>
  <si>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水泥砂浆楼地面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</si>
  <si>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 xml:space="preserve">水泥砂浆楼梯面
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</si>
  <si>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 xml:space="preserve">水泥砂浆踢脚线
</t>
    </r>
    <r>
      <rPr>
        <sz val="10"/>
        <rFont val="Times New Roman"/>
        <family val="1"/>
      </rPr>
      <t>(m)</t>
    </r>
  </si>
  <si>
    <r>
      <t xml:space="preserve">墙柱面一般抹灰
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</si>
  <si>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 xml:space="preserve">墙面贴仿石面砖
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</si>
  <si>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 xml:space="preserve">人工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工日</t>
    </r>
    <r>
      <rPr>
        <sz val="10"/>
        <rFont val="Times New Roman"/>
        <family val="1"/>
      </rPr>
      <t>)</t>
    </r>
  </si>
  <si>
    <r>
      <t xml:space="preserve">保温砂浆天棚
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</si>
  <si>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内墙乳胶漆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</si>
  <si>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外墙面弹性涂料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</si>
  <si>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 xml:space="preserve">基础模板
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</si>
  <si>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柱模板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</si>
  <si>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 xml:space="preserve">板模板
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</si>
  <si>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 xml:space="preserve">梁模板
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</si>
  <si>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砌筑脚手架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</si>
  <si>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抹灰脚手架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</si>
  <si>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商品砼（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r>
      <rPr>
        <sz val="10"/>
        <rFont val="宋体"/>
        <family val="0"/>
      </rPr>
      <t>）</t>
    </r>
  </si>
  <si>
    <r>
      <t>水泥</t>
    </r>
    <r>
      <rPr>
        <sz val="10"/>
        <rFont val="Times New Roman"/>
        <family val="1"/>
      </rPr>
      <t>(t)</t>
    </r>
  </si>
  <si>
    <r>
      <t>砂（</t>
    </r>
    <r>
      <rPr>
        <sz val="10"/>
        <rFont val="Times New Roman"/>
        <family val="1"/>
      </rPr>
      <t>t</t>
    </r>
    <r>
      <rPr>
        <sz val="10"/>
        <rFont val="宋体"/>
        <family val="0"/>
      </rPr>
      <t>）</t>
    </r>
  </si>
  <si>
    <r>
      <t>石子（</t>
    </r>
    <r>
      <rPr>
        <sz val="10"/>
        <rFont val="Times New Roman"/>
        <family val="1"/>
      </rPr>
      <t>t</t>
    </r>
    <r>
      <rPr>
        <sz val="10"/>
        <rFont val="宋体"/>
        <family val="0"/>
      </rPr>
      <t>）</t>
    </r>
  </si>
  <si>
    <r>
      <t>钢筋（</t>
    </r>
    <r>
      <rPr>
        <sz val="10"/>
        <rFont val="Times New Roman"/>
        <family val="1"/>
      </rPr>
      <t>t</t>
    </r>
    <r>
      <rPr>
        <sz val="10"/>
        <rFont val="宋体"/>
        <family val="0"/>
      </rPr>
      <t>）</t>
    </r>
  </si>
  <si>
    <t>蒸压加气混凝土砌块（块）</t>
  </si>
  <si>
    <t>S1型节能砖（块）</t>
  </si>
  <si>
    <r>
      <t>本工程数据由江苏建达工程项目管理有限公司提供</t>
    </r>
    <r>
      <rPr>
        <sz val="12"/>
        <rFont val="Times New Roman"/>
        <family val="1"/>
      </rPr>
      <t xml:space="preserve">  </t>
    </r>
  </si>
  <si>
    <r>
      <t xml:space="preserve">  </t>
    </r>
    <r>
      <rPr>
        <sz val="12"/>
        <rFont val="宋体"/>
        <family val="0"/>
      </rPr>
      <t>编制日期：</t>
    </r>
  </si>
  <si>
    <t>2019.4.3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</si>
</sst>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_ ;[Red]\-0.00\ "/>
    <numFmt numFmtId="179" formatCode="0.000_);[Red]\(0.000\)"/>
  </numFmts>
  <fonts count="53">
    <font>
      <sz val="12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8"/>
      <name val="宋体"/>
      <family val="0"/>
    </font>
    <font>
      <sz val="8"/>
      <name val="Times New Roman"/>
      <family val="1"/>
    </font>
    <font>
      <sz val="8.5"/>
      <name val="Times New Roman"/>
      <family val="1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vertAlign val="superscript"/>
      <sz val="10"/>
      <name val="Times New Roman"/>
      <family val="1"/>
    </font>
    <font>
      <sz val="8.5"/>
      <name val="宋体"/>
      <family val="0"/>
    </font>
    <font>
      <vertAlign val="superscript"/>
      <sz val="8.5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center" vertical="center" wrapText="1"/>
    </xf>
    <xf numFmtId="10" fontId="9" fillId="0" borderId="13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center" vertical="center"/>
    </xf>
    <xf numFmtId="10" fontId="5" fillId="0" borderId="14" xfId="0" applyNumberFormat="1" applyFont="1" applyBorder="1" applyAlignment="1">
      <alignment horizontal="center" vertical="center"/>
    </xf>
    <xf numFmtId="10" fontId="5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76" fontId="10" fillId="0" borderId="13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31" fontId="52" fillId="0" borderId="13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10" fontId="9" fillId="0" borderId="13" xfId="0" applyNumberFormat="1" applyFont="1" applyBorder="1" applyAlignment="1">
      <alignment horizontal="center" vertical="center" wrapText="1"/>
    </xf>
    <xf numFmtId="10" fontId="5" fillId="0" borderId="13" xfId="0" applyNumberFormat="1" applyFont="1" applyBorder="1" applyAlignment="1">
      <alignment horizontal="center" vertical="center" wrapText="1"/>
    </xf>
    <xf numFmtId="178" fontId="4" fillId="0" borderId="13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0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R13" sqref="R13"/>
    </sheetView>
  </sheetViews>
  <sheetFormatPr defaultColWidth="9.00390625" defaultRowHeight="14.25"/>
  <cols>
    <col min="1" max="1" width="3.50390625" style="3" customWidth="1"/>
    <col min="2" max="2" width="11.875" style="3" customWidth="1"/>
    <col min="3" max="3" width="6.875" style="4" customWidth="1"/>
    <col min="4" max="4" width="3.875" style="4" customWidth="1"/>
    <col min="5" max="5" width="8.125" style="4" customWidth="1"/>
    <col min="6" max="6" width="8.875" style="4" customWidth="1"/>
    <col min="7" max="7" width="7.875" style="3" customWidth="1"/>
    <col min="8" max="8" width="10.00390625" style="3" customWidth="1"/>
    <col min="9" max="9" width="8.125" style="3" customWidth="1"/>
    <col min="10" max="10" width="9.25390625" style="3" customWidth="1"/>
    <col min="11" max="11" width="8.75390625" style="3" customWidth="1"/>
    <col min="12" max="12" width="10.00390625" style="3" customWidth="1"/>
    <col min="13" max="13" width="8.125" style="3" customWidth="1"/>
    <col min="14" max="14" width="10.375" style="3" customWidth="1"/>
    <col min="15" max="15" width="7.875" style="3" customWidth="1"/>
    <col min="16" max="16" width="10.375" style="3" customWidth="1"/>
    <col min="17" max="16384" width="9.00390625" style="3" customWidth="1"/>
  </cols>
  <sheetData>
    <row r="1" spans="1:16" ht="20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5.75">
      <c r="A2" s="7" t="s">
        <v>1</v>
      </c>
      <c r="B2" s="8"/>
      <c r="C2" s="8" t="s">
        <v>2</v>
      </c>
      <c r="D2" s="9"/>
      <c r="E2" s="9"/>
      <c r="F2" s="9"/>
      <c r="G2" s="9"/>
      <c r="H2" s="9"/>
      <c r="I2" s="7" t="s">
        <v>3</v>
      </c>
      <c r="J2" s="8"/>
      <c r="K2" s="40">
        <v>43307</v>
      </c>
      <c r="L2" s="41"/>
      <c r="M2" s="41"/>
      <c r="N2" s="41"/>
      <c r="O2" s="41"/>
      <c r="P2" s="41"/>
    </row>
    <row r="3" spans="1:17" ht="15.75" customHeight="1">
      <c r="A3" s="10" t="s">
        <v>4</v>
      </c>
      <c r="B3" s="11" t="s">
        <v>5</v>
      </c>
      <c r="C3" s="12"/>
      <c r="D3" s="12"/>
      <c r="E3" s="12"/>
      <c r="F3" s="12"/>
      <c r="G3" s="12"/>
      <c r="H3" s="11" t="s">
        <v>6</v>
      </c>
      <c r="I3" s="12"/>
      <c r="J3" s="12"/>
      <c r="K3" s="12"/>
      <c r="L3" s="12"/>
      <c r="M3" s="11" t="s">
        <v>7</v>
      </c>
      <c r="N3" s="12"/>
      <c r="O3" s="12"/>
      <c r="P3" s="12"/>
      <c r="Q3" s="49"/>
    </row>
    <row r="4" spans="1:17" ht="17.25" customHeight="1">
      <c r="A4" s="13"/>
      <c r="B4" s="11" t="s">
        <v>8</v>
      </c>
      <c r="C4" s="12">
        <v>35768.5</v>
      </c>
      <c r="D4" s="12" t="s">
        <v>9</v>
      </c>
      <c r="E4" s="7" t="s">
        <v>10</v>
      </c>
      <c r="F4" s="9"/>
      <c r="G4" s="14"/>
      <c r="H4" s="11" t="s">
        <v>11</v>
      </c>
      <c r="I4" s="12"/>
      <c r="J4" s="12"/>
      <c r="K4" s="12"/>
      <c r="L4" s="12"/>
      <c r="M4" s="11" t="s">
        <v>12</v>
      </c>
      <c r="N4" s="12"/>
      <c r="O4" s="12"/>
      <c r="P4" s="12"/>
      <c r="Q4" s="49"/>
    </row>
    <row r="5" spans="1:17" ht="17.25" customHeight="1">
      <c r="A5" s="13"/>
      <c r="B5" s="11" t="s">
        <v>13</v>
      </c>
      <c r="C5" s="12"/>
      <c r="D5" s="12"/>
      <c r="E5" s="12"/>
      <c r="F5" s="12"/>
      <c r="G5" s="12"/>
      <c r="H5" s="11" t="s">
        <v>14</v>
      </c>
      <c r="I5" s="12"/>
      <c r="J5" s="12"/>
      <c r="K5" s="12"/>
      <c r="L5" s="12"/>
      <c r="M5" s="11" t="s">
        <v>15</v>
      </c>
      <c r="N5" s="12"/>
      <c r="O5" s="12"/>
      <c r="P5" s="12"/>
      <c r="Q5" s="49"/>
    </row>
    <row r="6" spans="1:17" ht="15.75" customHeight="1">
      <c r="A6" s="13"/>
      <c r="B6" s="15" t="s">
        <v>16</v>
      </c>
      <c r="C6" s="16"/>
      <c r="D6" s="16"/>
      <c r="E6" s="16"/>
      <c r="F6" s="16"/>
      <c r="G6" s="16"/>
      <c r="H6" s="17" t="s">
        <v>17</v>
      </c>
      <c r="I6" s="42"/>
      <c r="J6" s="42"/>
      <c r="K6" s="42"/>
      <c r="L6" s="42"/>
      <c r="M6" s="42"/>
      <c r="N6" s="42"/>
      <c r="O6" s="42"/>
      <c r="P6" s="43"/>
      <c r="Q6" s="49"/>
    </row>
    <row r="7" spans="1:17" s="1" customFormat="1" ht="21.75" customHeight="1">
      <c r="A7" s="10" t="s">
        <v>18</v>
      </c>
      <c r="B7" s="18" t="s">
        <v>19</v>
      </c>
      <c r="C7" s="19">
        <v>6678.61</v>
      </c>
      <c r="D7" s="20"/>
      <c r="E7" s="21" t="s">
        <v>20</v>
      </c>
      <c r="F7" s="22">
        <f>C7/C4*10000</f>
        <v>1867.176426185051</v>
      </c>
      <c r="G7" s="18" t="s">
        <v>21</v>
      </c>
      <c r="H7" s="23">
        <f>41852980.52/C7/10000</f>
        <v>0.62667202486745</v>
      </c>
      <c r="I7" s="18" t="s">
        <v>22</v>
      </c>
      <c r="J7" s="44">
        <f>16204197.92/C7/10000</f>
        <v>0.24262830020019138</v>
      </c>
      <c r="K7" s="18" t="s">
        <v>23</v>
      </c>
      <c r="L7" s="45">
        <f>474278/C7/10000</f>
        <v>0.00710144775634451</v>
      </c>
      <c r="M7" s="10" t="s">
        <v>24</v>
      </c>
      <c r="N7" s="45">
        <f>2183223.33/C7/10000</f>
        <v>0.03268978619802624</v>
      </c>
      <c r="O7" s="10" t="s">
        <v>25</v>
      </c>
      <c r="P7" s="45">
        <f>2183223.33/C7/10000</f>
        <v>0.03268978619802624</v>
      </c>
      <c r="Q7" s="50"/>
    </row>
    <row r="8" spans="1:16" ht="24.75">
      <c r="A8" s="13"/>
      <c r="B8" s="10" t="s">
        <v>26</v>
      </c>
      <c r="C8" s="24" t="s">
        <v>27</v>
      </c>
      <c r="D8" s="25"/>
      <c r="E8" s="26" t="s">
        <v>28</v>
      </c>
      <c r="F8" s="26" t="s">
        <v>29</v>
      </c>
      <c r="G8" s="10" t="s">
        <v>30</v>
      </c>
      <c r="H8" s="26" t="s">
        <v>31</v>
      </c>
      <c r="I8" s="10" t="s">
        <v>32</v>
      </c>
      <c r="J8" s="26" t="s">
        <v>33</v>
      </c>
      <c r="K8" s="10" t="s">
        <v>34</v>
      </c>
      <c r="L8" s="26" t="s">
        <v>35</v>
      </c>
      <c r="M8" s="10" t="s">
        <v>36</v>
      </c>
      <c r="N8" s="26" t="s">
        <v>37</v>
      </c>
      <c r="O8" s="10" t="s">
        <v>38</v>
      </c>
      <c r="P8" s="26" t="s">
        <v>39</v>
      </c>
    </row>
    <row r="9" spans="1:16" ht="14.25">
      <c r="A9" s="13"/>
      <c r="B9" s="10" t="s">
        <v>40</v>
      </c>
      <c r="C9" s="27" t="s">
        <v>41</v>
      </c>
      <c r="D9" s="28"/>
      <c r="E9" s="29">
        <v>2688.76</v>
      </c>
      <c r="F9" s="29">
        <v>14065.28</v>
      </c>
      <c r="G9" s="29">
        <v>2676.293</v>
      </c>
      <c r="H9" s="29">
        <v>3580.17</v>
      </c>
      <c r="I9" s="29">
        <f>35242+526.5</f>
        <v>35768.5</v>
      </c>
      <c r="J9" s="29">
        <v>42896.516</v>
      </c>
      <c r="K9" s="29">
        <v>36815.2</v>
      </c>
      <c r="L9" s="29">
        <v>7911.27</v>
      </c>
      <c r="M9" s="29">
        <f>22780.94+18419.96</f>
        <v>41200.899999999994</v>
      </c>
      <c r="N9" s="29">
        <v>107244.66</v>
      </c>
      <c r="O9" s="29">
        <v>55440.15</v>
      </c>
      <c r="P9" s="29">
        <v>400</v>
      </c>
    </row>
    <row r="10" spans="1:16" ht="20.25" customHeight="1">
      <c r="A10" s="13"/>
      <c r="B10" s="18" t="s">
        <v>42</v>
      </c>
      <c r="C10" s="27" t="s">
        <v>41</v>
      </c>
      <c r="D10" s="28"/>
      <c r="E10" s="29">
        <f>1278269.18/10000</f>
        <v>127.82691799999999</v>
      </c>
      <c r="F10" s="29">
        <f>8883272.63/10000</f>
        <v>888.3272630000001</v>
      </c>
      <c r="G10" s="29">
        <f>14082155.15/10000</f>
        <v>1408.215515</v>
      </c>
      <c r="H10" s="29">
        <f>901766.4/10000</f>
        <v>90.17664</v>
      </c>
      <c r="I10" s="29">
        <f>464950.88/10000</f>
        <v>46.495088</v>
      </c>
      <c r="J10" s="29">
        <f>3065017.7/10000</f>
        <v>306.50177</v>
      </c>
      <c r="K10" s="29">
        <f>1070068.99/10000</f>
        <v>107.006899</v>
      </c>
      <c r="L10" s="29">
        <f>4513554.42/10000</f>
        <v>451.355442</v>
      </c>
      <c r="M10" s="29">
        <f>3592129.23/10000</f>
        <v>359.212923</v>
      </c>
      <c r="N10" s="29">
        <f>9457087.26/10000</f>
        <v>945.708726</v>
      </c>
      <c r="O10" s="29">
        <f>3835402.25/10000</f>
        <v>383.540225</v>
      </c>
      <c r="P10" s="29">
        <f>279044/10000</f>
        <v>27.9044</v>
      </c>
    </row>
    <row r="11" spans="1:16" ht="14.25">
      <c r="A11" s="13"/>
      <c r="B11" s="10" t="s">
        <v>43</v>
      </c>
      <c r="C11" s="27" t="s">
        <v>41</v>
      </c>
      <c r="D11" s="28"/>
      <c r="E11" s="29">
        <f>E10*10000/C4</f>
        <v>35.737287837063334</v>
      </c>
      <c r="F11" s="29">
        <f>F10/C4*10000</f>
        <v>248.35463130967193</v>
      </c>
      <c r="G11" s="29">
        <f>G10/C4*10000</f>
        <v>393.70270349609297</v>
      </c>
      <c r="H11" s="29">
        <f>H10/C4*10000</f>
        <v>25.211188615681397</v>
      </c>
      <c r="I11" s="29">
        <f>I10/C4*10000</f>
        <v>12.998892321456031</v>
      </c>
      <c r="J11" s="29">
        <f>J10/C4*1000</f>
        <v>8.569041754616492</v>
      </c>
      <c r="K11" s="29">
        <f>K10/C4*1000</f>
        <v>2.991651844500049</v>
      </c>
      <c r="L11" s="29">
        <f>L10/C4*10000</f>
        <v>126.18797042090107</v>
      </c>
      <c r="M11" s="29">
        <f>M10/C4*10000</f>
        <v>100.42716999594616</v>
      </c>
      <c r="N11" s="29">
        <f>N10/C4*10000</f>
        <v>264.3970884996575</v>
      </c>
      <c r="O11" s="29">
        <f>O10/C4*10000</f>
        <v>107.22849015194936</v>
      </c>
      <c r="P11" s="29">
        <f>P10/C4*10000</f>
        <v>7.801389490753037</v>
      </c>
    </row>
    <row r="12" spans="1:17" ht="15.75">
      <c r="A12" s="13"/>
      <c r="B12" s="10" t="s">
        <v>44</v>
      </c>
      <c r="C12" s="30" t="s">
        <v>41</v>
      </c>
      <c r="D12" s="31"/>
      <c r="E12" s="32">
        <f>E10/C7</f>
        <v>0.019139748839953223</v>
      </c>
      <c r="F12" s="32">
        <f>F10/C7</f>
        <v>0.13301080060072382</v>
      </c>
      <c r="G12" s="32">
        <f>G10/C7</f>
        <v>0.21085458126765902</v>
      </c>
      <c r="H12" s="32">
        <f>H10/C7</f>
        <v>0.013502306617694401</v>
      </c>
      <c r="I12" s="32">
        <f>I10/C7</f>
        <v>0.00696179115115271</v>
      </c>
      <c r="J12" s="32">
        <f>J10/C7</f>
        <v>0.04589304810432111</v>
      </c>
      <c r="K12" s="32">
        <f>K10/C7</f>
        <v>0.016022330844292453</v>
      </c>
      <c r="L12" s="32">
        <f>L11/C7</f>
        <v>0.01889434634166407</v>
      </c>
      <c r="M12" s="32">
        <f>M10/C7</f>
        <v>0.05378558158059836</v>
      </c>
      <c r="N12" s="32">
        <f>N10/C7</f>
        <v>0.1416026277923101</v>
      </c>
      <c r="O12" s="32">
        <f>O10/C7</f>
        <v>0.05742815121709458</v>
      </c>
      <c r="P12" s="32">
        <f>P10/C7</f>
        <v>0.0041781747998460754</v>
      </c>
      <c r="Q12" s="51"/>
    </row>
    <row r="13" spans="1:16" s="2" customFormat="1" ht="37.5">
      <c r="A13" s="10" t="s">
        <v>45</v>
      </c>
      <c r="B13" s="13"/>
      <c r="C13" s="24" t="s">
        <v>46</v>
      </c>
      <c r="D13" s="33"/>
      <c r="E13" s="26" t="s">
        <v>47</v>
      </c>
      <c r="F13" s="34" t="s">
        <v>48</v>
      </c>
      <c r="G13" s="35" t="s">
        <v>49</v>
      </c>
      <c r="H13" s="26" t="s">
        <v>50</v>
      </c>
      <c r="I13" s="24" t="s">
        <v>51</v>
      </c>
      <c r="J13" s="26" t="s">
        <v>52</v>
      </c>
      <c r="K13" s="26" t="s">
        <v>53</v>
      </c>
      <c r="L13" s="26" t="s">
        <v>54</v>
      </c>
      <c r="M13" s="26" t="s">
        <v>55</v>
      </c>
      <c r="N13" s="26" t="s">
        <v>56</v>
      </c>
      <c r="O13" s="37" t="s">
        <v>57</v>
      </c>
      <c r="P13" s="37" t="s">
        <v>58</v>
      </c>
    </row>
    <row r="14" spans="1:16" ht="17.25" customHeight="1">
      <c r="A14" s="13"/>
      <c r="B14" s="13"/>
      <c r="C14" s="27" t="s">
        <v>41</v>
      </c>
      <c r="D14" s="28"/>
      <c r="E14" s="29" t="s">
        <v>41</v>
      </c>
      <c r="F14" s="29" t="s">
        <v>41</v>
      </c>
      <c r="G14" s="29" t="s">
        <v>41</v>
      </c>
      <c r="H14" s="29" t="s">
        <v>41</v>
      </c>
      <c r="I14" s="29">
        <f>308147.27/C4*100</f>
        <v>861.5045920292996</v>
      </c>
      <c r="J14" s="29">
        <f>(597077.79+395827.41+469182.75)/C4*100</f>
        <v>4087.641220627088</v>
      </c>
      <c r="K14" s="29">
        <f>43442/C4*100</f>
        <v>121.45323399080196</v>
      </c>
      <c r="L14" s="29">
        <f>5287078/C4*100</f>
        <v>14781.380264758098</v>
      </c>
      <c r="M14" s="29">
        <f>465.1/C4*100</f>
        <v>1.300306135286635</v>
      </c>
      <c r="N14" s="29">
        <f>115189.34/C4*100</f>
        <v>322.04129331674517</v>
      </c>
      <c r="O14" s="29" t="s">
        <v>41</v>
      </c>
      <c r="P14" s="29">
        <f>415299.72/C4*100</f>
        <v>1161.076701567021</v>
      </c>
    </row>
    <row r="15" spans="1:16" s="2" customFormat="1" ht="48.75" customHeight="1">
      <c r="A15" s="13"/>
      <c r="B15" s="13"/>
      <c r="C15" s="36" t="s">
        <v>59</v>
      </c>
      <c r="D15" s="33"/>
      <c r="E15" s="24" t="s">
        <v>60</v>
      </c>
      <c r="F15" s="24" t="s">
        <v>61</v>
      </c>
      <c r="G15" s="24" t="s">
        <v>62</v>
      </c>
      <c r="H15" s="24" t="s">
        <v>63</v>
      </c>
      <c r="I15" s="24" t="s">
        <v>64</v>
      </c>
      <c r="J15" s="24" t="s">
        <v>65</v>
      </c>
      <c r="K15" s="24" t="s">
        <v>66</v>
      </c>
      <c r="L15" s="24" t="s">
        <v>67</v>
      </c>
      <c r="M15" s="24" t="s">
        <v>68</v>
      </c>
      <c r="N15" s="26" t="s">
        <v>69</v>
      </c>
      <c r="O15" s="37" t="s">
        <v>70</v>
      </c>
      <c r="P15" s="37" t="s">
        <v>71</v>
      </c>
    </row>
    <row r="16" spans="1:16" ht="13.5" customHeight="1">
      <c r="A16" s="13"/>
      <c r="B16" s="13"/>
      <c r="C16" s="27">
        <f>176880.78/C4*100</f>
        <v>494.5155094566448</v>
      </c>
      <c r="D16" s="28"/>
      <c r="E16" s="29">
        <f>134793.4/C4*100</f>
        <v>376.8494625159009</v>
      </c>
      <c r="F16" s="29">
        <f>24620.57/C4*100</f>
        <v>68.83310734305324</v>
      </c>
      <c r="G16" s="29" t="s">
        <v>41</v>
      </c>
      <c r="H16" s="29">
        <f>294080.54/C4*100</f>
        <v>822.1774466360065</v>
      </c>
      <c r="I16" s="29">
        <f>8180.46/C4*100</f>
        <v>22.87057047402044</v>
      </c>
      <c r="J16" s="29">
        <f>433320.09/C4*100</f>
        <v>1211.457259879503</v>
      </c>
      <c r="K16" s="29">
        <f>(783892.15+224052.73)/C4*100</f>
        <v>2817.9679885933156</v>
      </c>
      <c r="L16" s="29">
        <f>(636361.48+199271.95)/C4*100</f>
        <v>2336.22721109356</v>
      </c>
      <c r="M16" s="29">
        <f>140336.44/C4*100</f>
        <v>392.34645008876527</v>
      </c>
      <c r="N16" s="29" t="s">
        <v>41</v>
      </c>
      <c r="O16" s="29">
        <f>527525.8/C4*100</f>
        <v>1474.8334428337785</v>
      </c>
      <c r="P16" s="29">
        <f>2058027.78/C4*100</f>
        <v>5753.7436012133585</v>
      </c>
    </row>
    <row r="17" spans="1:17" s="2" customFormat="1" ht="36">
      <c r="A17" s="13"/>
      <c r="B17" s="13"/>
      <c r="C17" s="36" t="s">
        <v>72</v>
      </c>
      <c r="D17" s="33"/>
      <c r="E17" s="37" t="s">
        <v>73</v>
      </c>
      <c r="F17" s="37" t="s">
        <v>74</v>
      </c>
      <c r="G17" s="36" t="s">
        <v>75</v>
      </c>
      <c r="H17" s="37" t="s">
        <v>76</v>
      </c>
      <c r="I17" s="24" t="s">
        <v>77</v>
      </c>
      <c r="J17" s="37" t="s">
        <v>78</v>
      </c>
      <c r="K17" s="46" t="s">
        <v>79</v>
      </c>
      <c r="L17" s="26" t="s">
        <v>80</v>
      </c>
      <c r="M17" s="26" t="s">
        <v>81</v>
      </c>
      <c r="N17" s="37" t="s">
        <v>82</v>
      </c>
      <c r="O17" s="37" t="s">
        <v>83</v>
      </c>
      <c r="P17" s="37" t="s">
        <v>84</v>
      </c>
      <c r="Q17" s="52"/>
    </row>
    <row r="18" spans="1:17" ht="14.25" customHeight="1">
      <c r="A18" s="13"/>
      <c r="B18" s="13"/>
      <c r="C18" s="27" t="s">
        <v>41</v>
      </c>
      <c r="D18" s="28"/>
      <c r="E18" s="29">
        <f>1961722.76/C4*100</f>
        <v>5484.498259641864</v>
      </c>
      <c r="F18" s="29">
        <f>4857481.19*0.7/C4*100</f>
        <v>9506.23267120511</v>
      </c>
      <c r="G18" s="29">
        <f>4857481.19*0.3/C4*100</f>
        <v>4074.099716230762</v>
      </c>
      <c r="H18" s="29">
        <f>2192610.42/C4*100</f>
        <v>6130.003830185778</v>
      </c>
      <c r="I18" s="29">
        <f>2192610.42/C4*100</f>
        <v>6130.003830185778</v>
      </c>
      <c r="J18" s="29">
        <f>2192610.42/C4*100</f>
        <v>6130.003830185778</v>
      </c>
      <c r="K18" s="29">
        <f>2192610.42/C4*100</f>
        <v>6130.003830185778</v>
      </c>
      <c r="L18" s="47">
        <f>44.871/C4*100</f>
        <v>0.1254483693752883</v>
      </c>
      <c r="M18" s="29">
        <f>185.922/C4*100</f>
        <v>0.5197925549016592</v>
      </c>
      <c r="N18" s="29">
        <f>273927.2/C4*100</f>
        <v>765.8336245579211</v>
      </c>
      <c r="O18" s="29">
        <f>(1043551.7+234717.48)/C4*100</f>
        <v>3573.7287837063336</v>
      </c>
      <c r="P18" s="29" t="s">
        <v>41</v>
      </c>
      <c r="Q18" s="53"/>
    </row>
    <row r="19" spans="1:13" ht="15.75">
      <c r="A19" s="38" t="s">
        <v>85</v>
      </c>
      <c r="B19" s="39"/>
      <c r="C19" s="39"/>
      <c r="D19" s="39"/>
      <c r="E19" s="39"/>
      <c r="F19" s="39"/>
      <c r="G19" s="39"/>
      <c r="H19" s="39"/>
      <c r="I19" s="39"/>
      <c r="K19" s="48"/>
      <c r="L19" s="3" t="s">
        <v>86</v>
      </c>
      <c r="M19" s="3" t="s">
        <v>87</v>
      </c>
    </row>
    <row r="20" spans="7:16" ht="15.75"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7:16" ht="15.75">
      <c r="G21" s="4"/>
      <c r="H21" s="4"/>
      <c r="I21" s="4"/>
      <c r="J21" s="4"/>
      <c r="K21" s="4"/>
      <c r="L21" s="4"/>
      <c r="M21" s="4"/>
      <c r="N21" s="4"/>
      <c r="O21" s="4"/>
      <c r="P21" s="4"/>
    </row>
  </sheetData>
  <sheetProtection/>
  <mergeCells count="32">
    <mergeCell ref="A1:P1"/>
    <mergeCell ref="A2:B2"/>
    <mergeCell ref="C2:H2"/>
    <mergeCell ref="I2:J2"/>
    <mergeCell ref="K2:P2"/>
    <mergeCell ref="B3:G3"/>
    <mergeCell ref="H3:L3"/>
    <mergeCell ref="M3:P3"/>
    <mergeCell ref="E4:G4"/>
    <mergeCell ref="H4:L4"/>
    <mergeCell ref="M4:P4"/>
    <mergeCell ref="B5:G5"/>
    <mergeCell ref="H5:L5"/>
    <mergeCell ref="M5:P5"/>
    <mergeCell ref="B6:G6"/>
    <mergeCell ref="H6:P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A19:I19"/>
    <mergeCell ref="A3:A6"/>
    <mergeCell ref="A7:A12"/>
    <mergeCell ref="A13:B18"/>
  </mergeCells>
  <printOptions/>
  <pageMargins left="0.75" right="0.75" top="0.7900000000000001" bottom="0.72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wl</cp:lastModifiedBy>
  <cp:lastPrinted>2013-01-22T01:41:21Z</cp:lastPrinted>
  <dcterms:created xsi:type="dcterms:W3CDTF">2007-07-26T03:15:12Z</dcterms:created>
  <dcterms:modified xsi:type="dcterms:W3CDTF">2019-07-23T06:22:09Z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2052-11.1.0.8888</vt:lpwstr>
  </property>
</Properties>
</file>