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 activeTab="1"/>
  </bookViews>
  <sheets>
    <sheet name="增值税一般计税(2019年9月)" sheetId="2" r:id="rId1"/>
    <sheet name="增值税一般计税(2019年9月) （纯数据）" sheetId="6" r:id="rId2"/>
  </sheets>
  <externalReferences>
    <externalReference r:id="rId3"/>
  </externalReferences>
  <definedNames>
    <definedName name="_xlnm.Print_Area" localSheetId="0">'增值税一般计税(2019年9月)'!$A$1:$P$17</definedName>
    <definedName name="_xlnm.Print_Area" localSheetId="1">'增值税一般计税(2019年9月) （纯数据）'!$A$1:$P$17</definedName>
  </definedNames>
  <calcPr calcId="144525" concurrentCalc="0"/>
</workbook>
</file>

<file path=xl/sharedStrings.xml><?xml version="1.0" encoding="utf-8"?>
<sst xmlns="http://schemas.openxmlformats.org/spreadsheetml/2006/main" count="145" uniqueCount="65">
  <si>
    <t>某城市支路工程标底编制技术经济指标实例分析</t>
  </si>
  <si>
    <t>工程特征</t>
  </si>
  <si>
    <t>技术标准</t>
  </si>
  <si>
    <r>
      <rPr>
        <sz val="10"/>
        <rFont val="宋体"/>
        <charset val="134"/>
      </rPr>
      <t>城市支路，设计车速：30km/h，标准道路宽度15m：2.5m人行道+10m机动车道+2.5m人行道，展宽段宽18m 。有雨污水管道分布，雨水管径400</t>
    </r>
    <r>
      <rPr>
        <sz val="10"/>
        <rFont val="Times New Roman"/>
        <charset val="134"/>
      </rPr>
      <t>~</t>
    </r>
    <r>
      <rPr>
        <sz val="10"/>
        <rFont val="宋体"/>
        <charset val="134"/>
      </rPr>
      <t>1400mm，污水管道管径400mm，并新建桥梁两座。</t>
    </r>
  </si>
  <si>
    <t>工程规模</t>
  </si>
  <si>
    <t>全长896.53m，机动车道沥青路面面积8972.59m2，人行道面积3517.52m2。新建10m一跨简支板桥2座。</t>
  </si>
  <si>
    <t>长度896.53m</t>
  </si>
  <si>
    <t>税金</t>
  </si>
  <si>
    <t>规费</t>
  </si>
  <si>
    <t>措施</t>
  </si>
  <si>
    <t>其中安全文明施工</t>
  </si>
  <si>
    <t>分部</t>
  </si>
  <si>
    <t>管理费</t>
  </si>
  <si>
    <t>利润</t>
  </si>
  <si>
    <t>主要结构</t>
  </si>
  <si>
    <t>路基处理：20cm 6%石灰土原槽拌合、20cm 8%石灰土。机动车道路面：20cm 6%水泥10%石灰土、18cm水泥稳定碎石、0.6cm沥青下封层、8cmAC-20C、4cmAC-13C。雨水：单侧机动车道下设置雨水管道，雨水边井收集。污水：布置于道路北侧下。1号桥梁：下部桩柱式墩台，桩直径1.0m；C30桥台身台帽，上部预应力先张法空心板梁，8cmC50现浇砼+桥面防水，沥青面层同道路，石材栏杆。2号桥梁：下部桩柱式墩台，桩直径1.0m；C30桥台身台帽，上部现浇混凝土空心桥板，8cmC50现浇砼+桥面防水，沥青面层同道路，石材栏杆。</t>
  </si>
  <si>
    <t>面积</t>
  </si>
  <si>
    <t>土方</t>
  </si>
  <si>
    <t>工程经济指标</t>
  </si>
  <si>
    <t>工程造价(万元)</t>
  </si>
  <si>
    <t>单方造价(元/m2)</t>
  </si>
  <si>
    <t>分部分项费</t>
  </si>
  <si>
    <t>措施项目费</t>
  </si>
  <si>
    <t>其他项目费</t>
  </si>
  <si>
    <t>机动车</t>
  </si>
  <si>
    <t>道路</t>
  </si>
  <si>
    <t>分部分项工程费</t>
  </si>
  <si>
    <t>总则</t>
  </si>
  <si>
    <t>路基工程</t>
  </si>
  <si>
    <t>路面工程</t>
  </si>
  <si>
    <t>排水工程</t>
  </si>
  <si>
    <t>桥梁工程</t>
  </si>
  <si>
    <t>非机动车</t>
  </si>
  <si>
    <t>排水</t>
  </si>
  <si>
    <t>施工便道（m）</t>
  </si>
  <si>
    <t>临时用地（m2）</t>
  </si>
  <si>
    <t>清表（m2）</t>
  </si>
  <si>
    <t>路基挖土（m3）</t>
  </si>
  <si>
    <t>路基填筑（m3）</t>
  </si>
  <si>
    <t>路面基层（m2）</t>
  </si>
  <si>
    <t>路面层（m2）</t>
  </si>
  <si>
    <t>路面附属（m）</t>
  </si>
  <si>
    <t>检查井（座）</t>
  </si>
  <si>
    <t>管道（m）</t>
  </si>
  <si>
    <t>钢筋（t）</t>
  </si>
  <si>
    <t>桩 （m）</t>
  </si>
  <si>
    <t>砼（m3）</t>
  </si>
  <si>
    <t>其它</t>
  </si>
  <si>
    <t>人行道</t>
  </si>
  <si>
    <t>桥梁</t>
  </si>
  <si>
    <t>工程量</t>
  </si>
  <si>
    <t>分部分项造价(万元)</t>
  </si>
  <si>
    <t>占总造价比例</t>
  </si>
  <si>
    <t>汇总</t>
  </si>
  <si>
    <t>每平方米建筑面积主要技术指标</t>
  </si>
  <si>
    <t>人工费（元）</t>
  </si>
  <si>
    <t>机械使用费（元）</t>
  </si>
  <si>
    <t>生石灰（t）</t>
  </si>
  <si>
    <t>水稳碎石（t）</t>
  </si>
  <si>
    <t>沥青砼（t）</t>
  </si>
  <si>
    <t>沥青（kg）</t>
  </si>
  <si>
    <t>本工程数据由江苏中房工程咨询有限公司提供</t>
  </si>
  <si>
    <t>编制人：</t>
  </si>
  <si>
    <t>陈斌</t>
  </si>
  <si>
    <t xml:space="preserve">     本工程数据由江苏中房工程咨询有限公司提供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</si>
</sst>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 "/>
    <numFmt numFmtId="178" formatCode="0.00_);[Red]\(0.00\)"/>
    <numFmt numFmtId="179" formatCode="0.000%"/>
  </numFmts>
  <fonts count="29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2"/>
      <color theme="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20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6" borderId="1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0" borderId="15" applyNumberFormat="0" applyAlignment="0" applyProtection="0">
      <alignment vertical="center"/>
    </xf>
    <xf numFmtId="0" fontId="24" fillId="22" borderId="1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8" fontId="0" fillId="0" borderId="1" xfId="0" applyNumberFormat="1" applyBorder="1">
      <alignment vertical="center"/>
    </xf>
    <xf numFmtId="179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Font="1">
      <alignment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177" fontId="0" fillId="2" borderId="0" xfId="0" applyNumberFormat="1" applyFill="1" applyAlignment="1">
      <alignment horizontal="center" vertical="center"/>
    </xf>
    <xf numFmtId="10" fontId="0" fillId="0" borderId="0" xfId="11" applyNumberFormat="1" applyFont="1" applyAlignment="1">
      <alignment horizontal="center" vertical="center"/>
    </xf>
    <xf numFmtId="177" fontId="6" fillId="0" borderId="0" xfId="0" applyNumberFormat="1" applyFont="1">
      <alignment vertical="center"/>
    </xf>
    <xf numFmtId="177" fontId="7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dministrator\Desktop\&#25104;&#26412;&#27979;&#31639;&#20998;&#2651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4"/>
  <sheetViews>
    <sheetView view="pageBreakPreview" zoomScale="115" zoomScaleNormal="100" zoomScaleSheetLayoutView="115" topLeftCell="A4" workbookViewId="0">
      <selection activeCell="O15" sqref="O15"/>
    </sheetView>
  </sheetViews>
  <sheetFormatPr defaultColWidth="9" defaultRowHeight="14.25"/>
  <cols>
    <col min="1" max="1" width="3.5" customWidth="1"/>
    <col min="2" max="2" width="16.875" customWidth="1"/>
    <col min="3" max="3" width="7.75" style="1" customWidth="1"/>
    <col min="4" max="4" width="7.875" style="1" customWidth="1"/>
    <col min="5" max="5" width="8.875" style="1" customWidth="1"/>
    <col min="6" max="6" width="7.375" customWidth="1"/>
    <col min="7" max="7" width="8" customWidth="1"/>
    <col min="8" max="8" width="8.375" customWidth="1"/>
    <col min="9" max="9" width="8.125" customWidth="1"/>
    <col min="10" max="10" width="8" customWidth="1"/>
    <col min="11" max="11" width="6.375" customWidth="1"/>
    <col min="12" max="12" width="7.375" customWidth="1"/>
    <col min="13" max="13" width="9.625" customWidth="1"/>
    <col min="14" max="15" width="6.875" customWidth="1"/>
    <col min="16" max="16" width="7.75" customWidth="1"/>
    <col min="20" max="20" width="11.625" style="2" customWidth="1"/>
    <col min="21" max="22" width="11.625" style="3" customWidth="1"/>
    <col min="23" max="23" width="12.75" style="3" customWidth="1"/>
    <col min="24" max="25" width="13.875" style="3" customWidth="1"/>
    <col min="26" max="27" width="12.75" style="1" customWidth="1"/>
  </cols>
  <sheetData>
    <row r="1" ht="39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2">
        <f>G6+I6+M6+O6</f>
        <v>1</v>
      </c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7" customHeight="1" spans="1:16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0"/>
    </row>
    <row r="4" ht="18.75" customHeight="1" spans="1:27">
      <c r="A4" s="6"/>
      <c r="B4" s="7" t="s">
        <v>4</v>
      </c>
      <c r="C4" s="10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R4" s="43" t="s">
        <v>6</v>
      </c>
      <c r="U4" s="44" t="s">
        <v>7</v>
      </c>
      <c r="V4" s="44" t="s">
        <v>8</v>
      </c>
      <c r="W4" s="44" t="s">
        <v>9</v>
      </c>
      <c r="X4" s="45" t="s">
        <v>10</v>
      </c>
      <c r="Y4" s="44" t="s">
        <v>11</v>
      </c>
      <c r="Z4" s="44" t="s">
        <v>12</v>
      </c>
      <c r="AA4" s="44" t="s">
        <v>13</v>
      </c>
    </row>
    <row r="5" ht="57.75" customHeight="1" spans="1:27">
      <c r="A5" s="6"/>
      <c r="B5" s="7" t="s">
        <v>14</v>
      </c>
      <c r="C5" s="8" t="s">
        <v>15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0"/>
      <c r="R5" s="43" t="s">
        <v>16</v>
      </c>
      <c r="T5" s="46" t="s">
        <v>17</v>
      </c>
      <c r="U5" s="47"/>
      <c r="V5" s="47"/>
      <c r="W5" s="47"/>
      <c r="X5" s="47"/>
      <c r="Y5" s="47"/>
      <c r="Z5" s="55"/>
      <c r="AA5" s="55"/>
    </row>
    <row r="6" ht="33.75" customHeight="1" spans="1:27">
      <c r="A6" s="6" t="s">
        <v>18</v>
      </c>
      <c r="B6" s="6" t="s">
        <v>19</v>
      </c>
      <c r="C6" s="11">
        <f>T12</f>
        <v>1408.885</v>
      </c>
      <c r="D6" s="11" t="s">
        <v>20</v>
      </c>
      <c r="E6" s="11">
        <f>C6/R9*10000</f>
        <v>1050.25300565349</v>
      </c>
      <c r="F6" s="12" t="s">
        <v>21</v>
      </c>
      <c r="G6" s="13">
        <f>(Y12+Z12+AA12)/C6</f>
        <v>0.807426440057208</v>
      </c>
      <c r="H6" s="14" t="s">
        <v>22</v>
      </c>
      <c r="I6" s="13">
        <f>W12/C6</f>
        <v>0.088482026567108</v>
      </c>
      <c r="J6" s="12" t="s">
        <v>23</v>
      </c>
      <c r="K6" s="13">
        <f>(0)/C6</f>
        <v>0</v>
      </c>
      <c r="L6" s="12" t="s">
        <v>8</v>
      </c>
      <c r="M6" s="13">
        <f>V12/C6</f>
        <v>0.0215226934774662</v>
      </c>
      <c r="N6" s="6" t="s">
        <v>7</v>
      </c>
      <c r="O6" s="13">
        <f>(U12)/C6</f>
        <v>0.0825688398982174</v>
      </c>
      <c r="P6" s="13"/>
      <c r="Q6" s="48" t="s">
        <v>24</v>
      </c>
      <c r="R6" s="49">
        <v>9897.2</v>
      </c>
      <c r="T6" s="46" t="s">
        <v>25</v>
      </c>
      <c r="U6" s="47"/>
      <c r="V6" s="47"/>
      <c r="W6" s="47"/>
      <c r="X6" s="47"/>
      <c r="Y6" s="47"/>
      <c r="Z6" s="55"/>
      <c r="AA6" s="55"/>
    </row>
    <row r="7" ht="21" customHeight="1" spans="1:27">
      <c r="A7" s="6"/>
      <c r="B7" s="15" t="s">
        <v>26</v>
      </c>
      <c r="C7" s="16" t="s">
        <v>27</v>
      </c>
      <c r="D7" s="17"/>
      <c r="E7" s="16" t="s">
        <v>28</v>
      </c>
      <c r="F7" s="18"/>
      <c r="G7" s="17"/>
      <c r="H7" s="19" t="s">
        <v>29</v>
      </c>
      <c r="I7" s="31"/>
      <c r="J7" s="32"/>
      <c r="K7" s="16" t="s">
        <v>30</v>
      </c>
      <c r="L7" s="17"/>
      <c r="M7" s="19" t="s">
        <v>31</v>
      </c>
      <c r="N7" s="31"/>
      <c r="O7" s="31"/>
      <c r="P7" s="32"/>
      <c r="Q7" s="49" t="s">
        <v>32</v>
      </c>
      <c r="R7" s="49">
        <v>0</v>
      </c>
      <c r="T7" s="46" t="s">
        <v>33</v>
      </c>
      <c r="U7" s="47"/>
      <c r="V7" s="47"/>
      <c r="W7" s="47"/>
      <c r="X7" s="47"/>
      <c r="Y7" s="47"/>
      <c r="Z7" s="55"/>
      <c r="AA7" s="55"/>
    </row>
    <row r="8" ht="30" customHeight="1" spans="1:27">
      <c r="A8" s="6"/>
      <c r="B8" s="20"/>
      <c r="C8" s="11" t="s">
        <v>34</v>
      </c>
      <c r="D8" s="11" t="s">
        <v>35</v>
      </c>
      <c r="E8" s="11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11" t="s">
        <v>41</v>
      </c>
      <c r="K8" s="6" t="s">
        <v>42</v>
      </c>
      <c r="L8" s="6" t="s">
        <v>43</v>
      </c>
      <c r="M8" s="6" t="s">
        <v>44</v>
      </c>
      <c r="N8" s="6" t="s">
        <v>45</v>
      </c>
      <c r="O8" s="11" t="s">
        <v>46</v>
      </c>
      <c r="P8" s="33" t="s">
        <v>47</v>
      </c>
      <c r="Q8" s="50" t="s">
        <v>48</v>
      </c>
      <c r="R8" s="51">
        <v>3517.52</v>
      </c>
      <c r="T8" s="46" t="s">
        <v>49</v>
      </c>
      <c r="U8" s="47"/>
      <c r="V8" s="47"/>
      <c r="W8" s="47"/>
      <c r="X8" s="47"/>
      <c r="Y8" s="47"/>
      <c r="Z8" s="55"/>
      <c r="AA8" s="55"/>
    </row>
    <row r="9" ht="24.95" customHeight="1" spans="1:20">
      <c r="A9" s="6"/>
      <c r="B9" s="6" t="s">
        <v>50</v>
      </c>
      <c r="C9" s="21">
        <v>896</v>
      </c>
      <c r="D9" s="22">
        <v>0</v>
      </c>
      <c r="E9" s="21">
        <f>1440/0.2</f>
        <v>7200</v>
      </c>
      <c r="F9" s="21">
        <v>2653</v>
      </c>
      <c r="G9" s="21">
        <f>1875+12375+10669*0.2</f>
        <v>16383.8</v>
      </c>
      <c r="H9" s="21">
        <f>R6</f>
        <v>9897.2</v>
      </c>
      <c r="I9" s="21">
        <f>R6</f>
        <v>9897.2</v>
      </c>
      <c r="J9" s="21">
        <f>1705.19+1683.72</f>
        <v>3388.91</v>
      </c>
      <c r="K9" s="21">
        <f>41+25</f>
        <v>66</v>
      </c>
      <c r="L9" s="21">
        <f>975+644</f>
        <v>1619</v>
      </c>
      <c r="M9" s="21">
        <f>1.425+103.456+0.043+11.316</f>
        <v>116.24</v>
      </c>
      <c r="N9" s="21">
        <f>228+285</f>
        <v>513</v>
      </c>
      <c r="O9" s="21">
        <f>297.58+155*0.08+122.47+203.25+135*0.08+150.92</f>
        <v>797.42</v>
      </c>
      <c r="P9" s="34"/>
      <c r="Q9" s="52"/>
      <c r="R9" s="49">
        <f>SUM(R6:R8)</f>
        <v>13414.72</v>
      </c>
      <c r="T9" s="46"/>
    </row>
    <row r="10" ht="24.95" customHeight="1" spans="1:20">
      <c r="A10" s="6"/>
      <c r="B10" s="6" t="s">
        <v>51</v>
      </c>
      <c r="C10" s="23">
        <f>83738.29/10000</f>
        <v>8.373829</v>
      </c>
      <c r="D10" s="23">
        <v>0</v>
      </c>
      <c r="E10" s="24">
        <v>0.4262</v>
      </c>
      <c r="F10" s="24">
        <v>1.0878</v>
      </c>
      <c r="G10" s="25">
        <f>0.66+24.576+17.326</f>
        <v>42.562</v>
      </c>
      <c r="H10" s="25">
        <f>43.162+75.001</f>
        <v>118.163</v>
      </c>
      <c r="I10" s="25">
        <f>47.079+2.153+87.249+2.153+5.886+3.884</f>
        <v>148.404</v>
      </c>
      <c r="J10" s="24">
        <v>86.433</v>
      </c>
      <c r="K10" s="25">
        <f>28.886+21.46</f>
        <v>50.346</v>
      </c>
      <c r="L10" s="24">
        <f>151.692+51.965</f>
        <v>203.657</v>
      </c>
      <c r="M10" s="24">
        <f>34.396+26.162</f>
        <v>60.558</v>
      </c>
      <c r="N10" s="24">
        <f>41.192+32.954</f>
        <v>74.146</v>
      </c>
      <c r="O10" s="35">
        <f>30.81+0.988+1.653+4.253+2.103+0.702+5.248+0.509+27.511+0.86+3.219+1.739+0.451+0.468+5.03+0.521</f>
        <v>86.065</v>
      </c>
      <c r="P10" s="36">
        <f>(1912798.58+1604584)/10000-SUM(M10:O10)</f>
        <v>130.969258</v>
      </c>
      <c r="Q10" s="42"/>
      <c r="T10" s="46"/>
    </row>
    <row r="11" ht="24.95" customHeight="1" spans="1:20">
      <c r="A11" s="6"/>
      <c r="B11" s="6" t="s">
        <v>20</v>
      </c>
      <c r="C11" s="23">
        <f>C10*10000/$R$9</f>
        <v>6.24226894038787</v>
      </c>
      <c r="D11" s="23">
        <f>D10*10000/$R$9</f>
        <v>0</v>
      </c>
      <c r="E11" s="23">
        <f>E10*10000/$R$9</f>
        <v>0.317710693924286</v>
      </c>
      <c r="F11" s="23">
        <f t="shared" ref="F11:P11" si="0">F10*10000/$R$9</f>
        <v>0.81090026478376</v>
      </c>
      <c r="G11" s="23">
        <f t="shared" si="0"/>
        <v>31.7278333055032</v>
      </c>
      <c r="H11" s="23">
        <f t="shared" si="0"/>
        <v>88.0845817132225</v>
      </c>
      <c r="I11" s="23">
        <f t="shared" si="0"/>
        <v>110.627728346175</v>
      </c>
      <c r="J11" s="23">
        <f t="shared" si="0"/>
        <v>64.4314603659264</v>
      </c>
      <c r="K11" s="23">
        <f t="shared" si="0"/>
        <v>37.5304143508027</v>
      </c>
      <c r="L11" s="23">
        <f t="shared" si="0"/>
        <v>151.816064740822</v>
      </c>
      <c r="M11" s="23">
        <f t="shared" si="0"/>
        <v>45.1429474487727</v>
      </c>
      <c r="N11" s="23">
        <f t="shared" si="0"/>
        <v>55.2721189857112</v>
      </c>
      <c r="O11" s="23">
        <f t="shared" si="0"/>
        <v>64.1571348488824</v>
      </c>
      <c r="P11" s="23">
        <f t="shared" si="0"/>
        <v>97.6310038524845</v>
      </c>
      <c r="T11" s="46"/>
    </row>
    <row r="12" ht="24.95" customHeight="1" spans="1:27">
      <c r="A12" s="6"/>
      <c r="B12" s="6" t="s">
        <v>52</v>
      </c>
      <c r="C12" s="26">
        <f t="shared" ref="C12:P12" si="1">C10/$C$6</f>
        <v>0.00594358588529227</v>
      </c>
      <c r="D12" s="26">
        <f t="shared" si="1"/>
        <v>0</v>
      </c>
      <c r="E12" s="26">
        <f t="shared" si="1"/>
        <v>0.000302508721435745</v>
      </c>
      <c r="F12" s="26">
        <f t="shared" si="1"/>
        <v>0.000772099922988746</v>
      </c>
      <c r="G12" s="26">
        <f t="shared" si="1"/>
        <v>0.0302097048375134</v>
      </c>
      <c r="H12" s="26">
        <f t="shared" si="1"/>
        <v>0.0838698687259783</v>
      </c>
      <c r="I12" s="26">
        <f t="shared" si="1"/>
        <v>0.105334360150048</v>
      </c>
      <c r="J12" s="26">
        <f t="shared" si="1"/>
        <v>0.0613485131859591</v>
      </c>
      <c r="K12" s="26">
        <f t="shared" si="1"/>
        <v>0.0357346412233788</v>
      </c>
      <c r="L12" s="26">
        <f t="shared" si="1"/>
        <v>0.14455189742243</v>
      </c>
      <c r="M12" s="26">
        <f t="shared" si="1"/>
        <v>0.0429829262147017</v>
      </c>
      <c r="N12" s="26">
        <f t="shared" si="1"/>
        <v>0.0526274323312407</v>
      </c>
      <c r="O12" s="26">
        <f t="shared" si="1"/>
        <v>0.0610873137268123</v>
      </c>
      <c r="P12" s="26">
        <f t="shared" si="1"/>
        <v>0.0929595091153643</v>
      </c>
      <c r="Q12" s="42"/>
      <c r="S12" s="43" t="s">
        <v>53</v>
      </c>
      <c r="T12" s="3">
        <f>U12+V12+W12+Y12+Z12+AA12</f>
        <v>1408.885</v>
      </c>
      <c r="U12" s="53">
        <v>116.33</v>
      </c>
      <c r="V12" s="3">
        <v>30.323</v>
      </c>
      <c r="W12" s="3">
        <v>124.661</v>
      </c>
      <c r="X12" s="3">
        <v>27.451</v>
      </c>
      <c r="Y12" s="3">
        <f>1137.571-Z12-AA12</f>
        <v>1060.171</v>
      </c>
      <c r="Z12" s="56">
        <v>53.55</v>
      </c>
      <c r="AA12" s="3">
        <v>23.85</v>
      </c>
    </row>
    <row r="13" ht="30" customHeight="1" spans="1:16">
      <c r="A13" s="6" t="s">
        <v>54</v>
      </c>
      <c r="B13" s="6"/>
      <c r="C13" s="11" t="s">
        <v>34</v>
      </c>
      <c r="D13" s="11" t="s">
        <v>35</v>
      </c>
      <c r="E13" s="11" t="s">
        <v>36</v>
      </c>
      <c r="F13" s="6" t="s">
        <v>37</v>
      </c>
      <c r="G13" s="6" t="s">
        <v>38</v>
      </c>
      <c r="H13" s="6" t="s">
        <v>39</v>
      </c>
      <c r="I13" s="6" t="s">
        <v>40</v>
      </c>
      <c r="J13" s="11" t="s">
        <v>41</v>
      </c>
      <c r="K13" s="6" t="s">
        <v>42</v>
      </c>
      <c r="L13" s="6" t="s">
        <v>43</v>
      </c>
      <c r="M13" s="6" t="s">
        <v>44</v>
      </c>
      <c r="N13" s="6" t="s">
        <v>45</v>
      </c>
      <c r="O13" s="11" t="s">
        <v>46</v>
      </c>
      <c r="P13" s="33" t="s">
        <v>47</v>
      </c>
    </row>
    <row r="14" ht="24.95" customHeight="1" spans="1:25">
      <c r="A14" s="6"/>
      <c r="B14" s="6"/>
      <c r="C14" s="23">
        <f t="shared" ref="C14:P14" si="2">C9/$R$9</f>
        <v>0.0667922998020085</v>
      </c>
      <c r="D14" s="23">
        <f t="shared" si="2"/>
        <v>0</v>
      </c>
      <c r="E14" s="23">
        <f t="shared" si="2"/>
        <v>0.536723837694711</v>
      </c>
      <c r="F14" s="23">
        <f t="shared" si="2"/>
        <v>0.19776782519501</v>
      </c>
      <c r="G14" s="23">
        <f t="shared" si="2"/>
        <v>1.22133000166981</v>
      </c>
      <c r="H14" s="23">
        <f t="shared" si="2"/>
        <v>0.737786550893347</v>
      </c>
      <c r="I14" s="23">
        <f t="shared" si="2"/>
        <v>0.737786550893347</v>
      </c>
      <c r="J14" s="23">
        <f t="shared" si="2"/>
        <v>0.252626219555831</v>
      </c>
      <c r="K14" s="23">
        <f t="shared" si="2"/>
        <v>0.00491996851220152</v>
      </c>
      <c r="L14" s="23">
        <f t="shared" si="2"/>
        <v>0.120688318503852</v>
      </c>
      <c r="M14" s="23">
        <f t="shared" si="2"/>
        <v>0.00866510817967129</v>
      </c>
      <c r="N14" s="23">
        <f t="shared" si="2"/>
        <v>0.0382415734357482</v>
      </c>
      <c r="O14" s="23">
        <f t="shared" si="2"/>
        <v>0.0594436559242384</v>
      </c>
      <c r="P14" s="23">
        <f t="shared" si="2"/>
        <v>0</v>
      </c>
      <c r="S14" s="43"/>
      <c r="V14" s="54">
        <f>AA12/C6</f>
        <v>0.0169282801648112</v>
      </c>
      <c r="Y14" s="3">
        <f>[1]Sheet1!$G$5+[1]Sheet1!$G$7+[1]Sheet1!$G$12</f>
        <v>0</v>
      </c>
    </row>
    <row r="15" ht="30" customHeight="1" spans="1:16">
      <c r="A15" s="6"/>
      <c r="B15" s="6"/>
      <c r="C15" s="27" t="s">
        <v>55</v>
      </c>
      <c r="D15" s="27" t="s">
        <v>56</v>
      </c>
      <c r="E15" s="27" t="s">
        <v>57</v>
      </c>
      <c r="F15" s="27" t="s">
        <v>58</v>
      </c>
      <c r="G15" s="27" t="s">
        <v>59</v>
      </c>
      <c r="H15" s="27" t="s">
        <v>60</v>
      </c>
      <c r="I15" s="27"/>
      <c r="J15" s="27"/>
      <c r="K15" s="27"/>
      <c r="L15" s="27"/>
      <c r="M15" s="37"/>
      <c r="N15" s="38"/>
      <c r="O15" s="27"/>
      <c r="P15" s="39"/>
    </row>
    <row r="16" ht="24.95" customHeight="1" spans="1:19">
      <c r="A16" s="6"/>
      <c r="B16" s="6"/>
      <c r="C16" s="11">
        <f>(1661.62+9990+2017160.62+2414.45)/R9</f>
        <v>151.417747817323</v>
      </c>
      <c r="D16" s="11">
        <f>(1016750.75)/R9</f>
        <v>75.7936617387467</v>
      </c>
      <c r="E16" s="11">
        <f>1690.189/R9</f>
        <v>0.125995100904081</v>
      </c>
      <c r="F16" s="11">
        <f>1684.179/R9</f>
        <v>0.125547085589561</v>
      </c>
      <c r="G16" s="11">
        <f>(905.695+1851.973)/R9</f>
        <v>0.205570298895542</v>
      </c>
      <c r="H16" s="11">
        <f>(592.398+9117+5832.168+9802.614)/R9</f>
        <v>1.88928132678133</v>
      </c>
      <c r="I16" s="40"/>
      <c r="J16" s="40"/>
      <c r="K16" s="40"/>
      <c r="L16" s="40"/>
      <c r="M16" s="40"/>
      <c r="N16" s="40"/>
      <c r="O16" s="40"/>
      <c r="P16" s="34"/>
      <c r="S16" s="43"/>
    </row>
    <row r="17" ht="30" customHeight="1" spans="1:20">
      <c r="A17" s="28" t="s">
        <v>61</v>
      </c>
      <c r="B17" s="28"/>
      <c r="C17" s="28"/>
      <c r="D17" s="28"/>
      <c r="E17" s="28"/>
      <c r="F17" s="29"/>
      <c r="G17" s="29"/>
      <c r="H17" s="29"/>
      <c r="I17" s="29"/>
      <c r="J17" s="29"/>
      <c r="K17" s="29"/>
      <c r="L17" s="29" t="s">
        <v>62</v>
      </c>
      <c r="M17" s="29" t="s">
        <v>63</v>
      </c>
      <c r="N17" s="29"/>
      <c r="O17" s="29"/>
      <c r="P17" s="29"/>
      <c r="T17" s="46"/>
    </row>
    <row r="18" ht="30" customHeight="1" spans="20:20">
      <c r="T18" s="46"/>
    </row>
    <row r="19" spans="20:20">
      <c r="T19" s="46"/>
    </row>
    <row r="20" spans="13:20">
      <c r="M20" s="41"/>
      <c r="T20" s="46"/>
    </row>
    <row r="21" spans="20:20">
      <c r="T21" s="46"/>
    </row>
    <row r="22" spans="12:20">
      <c r="L22">
        <v>0.1</v>
      </c>
      <c r="T22" s="46"/>
    </row>
    <row r="23" spans="13:20">
      <c r="M23">
        <v>31999.068</v>
      </c>
      <c r="T23" s="46"/>
    </row>
    <row r="24" spans="20:20">
      <c r="T24" s="46"/>
    </row>
    <row r="25" spans="20:20">
      <c r="T25" s="46"/>
    </row>
    <row r="26" spans="20:20">
      <c r="T26" s="46"/>
    </row>
    <row r="27" spans="19:27">
      <c r="S27" s="43"/>
      <c r="Z27" s="3"/>
      <c r="AA27" s="3"/>
    </row>
    <row r="28" spans="19:19">
      <c r="S28" s="43"/>
    </row>
    <row r="29" spans="20:25">
      <c r="T29" s="46"/>
      <c r="Y29" s="1"/>
    </row>
    <row r="30" spans="20:25">
      <c r="T30" s="46"/>
      <c r="Y30" s="1"/>
    </row>
    <row r="31" spans="20:25">
      <c r="T31" s="46"/>
      <c r="Y31" s="1"/>
    </row>
    <row r="32" spans="19:27">
      <c r="S32" s="43"/>
      <c r="Z32" s="3"/>
      <c r="AA32" s="3"/>
    </row>
    <row r="34" spans="19:27">
      <c r="S34" s="43"/>
      <c r="Z34" s="3"/>
      <c r="AA34" s="3"/>
    </row>
  </sheetData>
  <mergeCells count="16">
    <mergeCell ref="A1:P1"/>
    <mergeCell ref="A2:O2"/>
    <mergeCell ref="C3:P3"/>
    <mergeCell ref="C4:P4"/>
    <mergeCell ref="C5:P5"/>
    <mergeCell ref="O6:P6"/>
    <mergeCell ref="C7:D7"/>
    <mergeCell ref="E7:G7"/>
    <mergeCell ref="H7:J7"/>
    <mergeCell ref="K7:L7"/>
    <mergeCell ref="M7:P7"/>
    <mergeCell ref="A17:E17"/>
    <mergeCell ref="A3:A5"/>
    <mergeCell ref="A6:A12"/>
    <mergeCell ref="B7:B8"/>
    <mergeCell ref="A13:B16"/>
  </mergeCells>
  <printOptions horizontalCentered="1"/>
  <pageMargins left="0.354330708661417" right="0.354330708661417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4"/>
  <sheetViews>
    <sheetView tabSelected="1" view="pageBreakPreview" zoomScale="115" zoomScaleNormal="100" zoomScaleSheetLayoutView="115" workbookViewId="0">
      <selection activeCell="A1" sqref="A1:P1"/>
    </sheetView>
  </sheetViews>
  <sheetFormatPr defaultColWidth="9" defaultRowHeight="14.25"/>
  <cols>
    <col min="1" max="1" width="3.5" customWidth="1"/>
    <col min="2" max="2" width="16.875" customWidth="1"/>
    <col min="3" max="3" width="7.75" style="1" customWidth="1"/>
    <col min="4" max="4" width="7.875" style="1" customWidth="1"/>
    <col min="5" max="5" width="8.875" style="1" customWidth="1"/>
    <col min="6" max="6" width="7.375" customWidth="1"/>
    <col min="7" max="7" width="8" customWidth="1"/>
    <col min="8" max="8" width="8.375" customWidth="1"/>
    <col min="9" max="9" width="8.125" customWidth="1"/>
    <col min="10" max="10" width="8" customWidth="1"/>
    <col min="11" max="11" width="6.375" customWidth="1"/>
    <col min="12" max="12" width="7.375" customWidth="1"/>
    <col min="13" max="13" width="9.625" customWidth="1"/>
    <col min="14" max="15" width="6.875" customWidth="1"/>
    <col min="16" max="16" width="7.75" customWidth="1"/>
    <col min="20" max="20" width="11.625" style="2" customWidth="1"/>
    <col min="21" max="22" width="11.625" style="3" customWidth="1"/>
    <col min="23" max="23" width="12.75" style="3" customWidth="1"/>
    <col min="24" max="25" width="13.875" style="3" customWidth="1"/>
    <col min="26" max="27" width="12.75" style="1" customWidth="1"/>
  </cols>
  <sheetData>
    <row r="1" ht="39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2"/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7" customHeight="1" spans="1:16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0"/>
    </row>
    <row r="4" ht="18.75" customHeight="1" spans="1:27">
      <c r="A4" s="6"/>
      <c r="B4" s="7" t="s">
        <v>4</v>
      </c>
      <c r="C4" s="10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R4" s="43"/>
      <c r="U4" s="44"/>
      <c r="V4" s="44"/>
      <c r="W4" s="44"/>
      <c r="X4" s="45"/>
      <c r="Y4" s="44"/>
      <c r="Z4" s="44"/>
      <c r="AA4" s="44"/>
    </row>
    <row r="5" ht="57.75" customHeight="1" spans="1:27">
      <c r="A5" s="6"/>
      <c r="B5" s="7" t="s">
        <v>14</v>
      </c>
      <c r="C5" s="8" t="s">
        <v>15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0"/>
      <c r="R5" s="43"/>
      <c r="T5" s="46"/>
      <c r="U5" s="47"/>
      <c r="V5" s="47"/>
      <c r="W5" s="47"/>
      <c r="X5" s="47"/>
      <c r="Y5" s="47"/>
      <c r="Z5" s="55"/>
      <c r="AA5" s="55"/>
    </row>
    <row r="6" ht="33.75" customHeight="1" spans="1:27">
      <c r="A6" s="6" t="s">
        <v>18</v>
      </c>
      <c r="B6" s="6" t="s">
        <v>19</v>
      </c>
      <c r="C6" s="11">
        <v>1408.885</v>
      </c>
      <c r="D6" s="11" t="s">
        <v>20</v>
      </c>
      <c r="E6" s="11">
        <v>1050.25300565349</v>
      </c>
      <c r="F6" s="12" t="s">
        <v>21</v>
      </c>
      <c r="G6" s="13">
        <v>0.807426440057208</v>
      </c>
      <c r="H6" s="14" t="s">
        <v>22</v>
      </c>
      <c r="I6" s="13">
        <v>0.088482026567108</v>
      </c>
      <c r="J6" s="12" t="s">
        <v>23</v>
      </c>
      <c r="K6" s="13">
        <v>0</v>
      </c>
      <c r="L6" s="12" t="s">
        <v>8</v>
      </c>
      <c r="M6" s="13">
        <v>0.0215226934774662</v>
      </c>
      <c r="N6" s="6" t="s">
        <v>7</v>
      </c>
      <c r="O6" s="13">
        <v>0.0825688398982174</v>
      </c>
      <c r="P6" s="13"/>
      <c r="Q6" s="48"/>
      <c r="R6" s="49"/>
      <c r="T6" s="46"/>
      <c r="U6" s="47"/>
      <c r="V6" s="47"/>
      <c r="W6" s="47"/>
      <c r="X6" s="47"/>
      <c r="Y6" s="47"/>
      <c r="Z6" s="55"/>
      <c r="AA6" s="55"/>
    </row>
    <row r="7" ht="21" customHeight="1" spans="1:27">
      <c r="A7" s="6"/>
      <c r="B7" s="15" t="s">
        <v>26</v>
      </c>
      <c r="C7" s="16" t="s">
        <v>27</v>
      </c>
      <c r="D7" s="17"/>
      <c r="E7" s="16" t="s">
        <v>28</v>
      </c>
      <c r="F7" s="18"/>
      <c r="G7" s="17"/>
      <c r="H7" s="19" t="s">
        <v>29</v>
      </c>
      <c r="I7" s="31"/>
      <c r="J7" s="32"/>
      <c r="K7" s="16" t="s">
        <v>30</v>
      </c>
      <c r="L7" s="17"/>
      <c r="M7" s="19" t="s">
        <v>31</v>
      </c>
      <c r="N7" s="31"/>
      <c r="O7" s="31"/>
      <c r="P7" s="32"/>
      <c r="Q7" s="49"/>
      <c r="R7" s="49"/>
      <c r="T7" s="46"/>
      <c r="U7" s="47"/>
      <c r="V7" s="47"/>
      <c r="W7" s="47"/>
      <c r="X7" s="47"/>
      <c r="Y7" s="47"/>
      <c r="Z7" s="55"/>
      <c r="AA7" s="55"/>
    </row>
    <row r="8" ht="30" customHeight="1" spans="1:27">
      <c r="A8" s="6"/>
      <c r="B8" s="20"/>
      <c r="C8" s="11" t="s">
        <v>34</v>
      </c>
      <c r="D8" s="11" t="s">
        <v>35</v>
      </c>
      <c r="E8" s="11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11" t="s">
        <v>41</v>
      </c>
      <c r="K8" s="6" t="s">
        <v>42</v>
      </c>
      <c r="L8" s="6" t="s">
        <v>43</v>
      </c>
      <c r="M8" s="6" t="s">
        <v>44</v>
      </c>
      <c r="N8" s="6" t="s">
        <v>45</v>
      </c>
      <c r="O8" s="11" t="s">
        <v>46</v>
      </c>
      <c r="P8" s="33" t="s">
        <v>47</v>
      </c>
      <c r="Q8" s="50"/>
      <c r="R8" s="51"/>
      <c r="T8" s="46"/>
      <c r="U8" s="47"/>
      <c r="V8" s="47"/>
      <c r="W8" s="47"/>
      <c r="X8" s="47"/>
      <c r="Y8" s="47"/>
      <c r="Z8" s="55"/>
      <c r="AA8" s="55"/>
    </row>
    <row r="9" ht="24.95" customHeight="1" spans="1:20">
      <c r="A9" s="6"/>
      <c r="B9" s="6" t="s">
        <v>50</v>
      </c>
      <c r="C9" s="21">
        <v>896</v>
      </c>
      <c r="D9" s="22">
        <v>0</v>
      </c>
      <c r="E9" s="21">
        <v>7200</v>
      </c>
      <c r="F9" s="21">
        <v>2653</v>
      </c>
      <c r="G9" s="21">
        <v>16383.8</v>
      </c>
      <c r="H9" s="21">
        <v>9897.2</v>
      </c>
      <c r="I9" s="21">
        <v>9897.2</v>
      </c>
      <c r="J9" s="21">
        <v>3388.91</v>
      </c>
      <c r="K9" s="21">
        <v>66</v>
      </c>
      <c r="L9" s="21">
        <v>1619</v>
      </c>
      <c r="M9" s="21">
        <v>116.24</v>
      </c>
      <c r="N9" s="21">
        <v>513</v>
      </c>
      <c r="O9" s="21">
        <v>797.42</v>
      </c>
      <c r="P9" s="34"/>
      <c r="Q9" s="52"/>
      <c r="R9" s="49"/>
      <c r="T9" s="46"/>
    </row>
    <row r="10" ht="24.95" customHeight="1" spans="1:20">
      <c r="A10" s="6"/>
      <c r="B10" s="6" t="s">
        <v>51</v>
      </c>
      <c r="C10" s="23">
        <v>8.373829</v>
      </c>
      <c r="D10" s="23">
        <v>0</v>
      </c>
      <c r="E10" s="24">
        <v>0.4262</v>
      </c>
      <c r="F10" s="24">
        <v>1.0878</v>
      </c>
      <c r="G10" s="25">
        <v>42.562</v>
      </c>
      <c r="H10" s="25">
        <v>118.163</v>
      </c>
      <c r="I10" s="25">
        <v>148.404</v>
      </c>
      <c r="J10" s="24">
        <v>86.433</v>
      </c>
      <c r="K10" s="25">
        <v>50.346</v>
      </c>
      <c r="L10" s="24">
        <v>203.657</v>
      </c>
      <c r="M10" s="24">
        <v>60.558</v>
      </c>
      <c r="N10" s="24">
        <v>74.146</v>
      </c>
      <c r="O10" s="35">
        <v>86.065</v>
      </c>
      <c r="P10" s="36">
        <v>130.969258</v>
      </c>
      <c r="Q10" s="42"/>
      <c r="T10" s="46"/>
    </row>
    <row r="11" ht="24.95" customHeight="1" spans="1:20">
      <c r="A11" s="6"/>
      <c r="B11" s="6" t="s">
        <v>20</v>
      </c>
      <c r="C11" s="23">
        <v>6.24226894038787</v>
      </c>
      <c r="D11" s="23">
        <v>0</v>
      </c>
      <c r="E11" s="23">
        <v>0.317710693924286</v>
      </c>
      <c r="F11" s="23">
        <v>0.81090026478376</v>
      </c>
      <c r="G11" s="23">
        <v>31.7278333055032</v>
      </c>
      <c r="H11" s="23">
        <v>88.0845817132225</v>
      </c>
      <c r="I11" s="23">
        <v>110.627728346175</v>
      </c>
      <c r="J11" s="23">
        <v>64.4314603659264</v>
      </c>
      <c r="K11" s="23">
        <v>37.5304143508027</v>
      </c>
      <c r="L11" s="23">
        <v>151.816064740822</v>
      </c>
      <c r="M11" s="23">
        <v>45.1429474487727</v>
      </c>
      <c r="N11" s="23">
        <v>55.2721189857112</v>
      </c>
      <c r="O11" s="23">
        <v>64.1571348488824</v>
      </c>
      <c r="P11" s="23">
        <v>97.6310038524845</v>
      </c>
      <c r="T11" s="46"/>
    </row>
    <row r="12" ht="24.95" customHeight="1" spans="1:27">
      <c r="A12" s="6"/>
      <c r="B12" s="6" t="s">
        <v>52</v>
      </c>
      <c r="C12" s="26">
        <v>0.00594358588529227</v>
      </c>
      <c r="D12" s="26">
        <v>0</v>
      </c>
      <c r="E12" s="26">
        <v>0.000302508721435745</v>
      </c>
      <c r="F12" s="26">
        <v>0.000772099922988746</v>
      </c>
      <c r="G12" s="26">
        <v>0.0302097048375134</v>
      </c>
      <c r="H12" s="26">
        <v>0.0838698687259783</v>
      </c>
      <c r="I12" s="26">
        <v>0.105334360150048</v>
      </c>
      <c r="J12" s="26">
        <v>0.0613485131859591</v>
      </c>
      <c r="K12" s="26">
        <v>0.0357346412233788</v>
      </c>
      <c r="L12" s="26">
        <v>0.14455189742243</v>
      </c>
      <c r="M12" s="26">
        <v>0.0429829262147017</v>
      </c>
      <c r="N12" s="26">
        <v>0.0526274323312407</v>
      </c>
      <c r="O12" s="26">
        <v>0.0610873137268123</v>
      </c>
      <c r="P12" s="26">
        <v>0.0929595091153643</v>
      </c>
      <c r="Q12" s="42"/>
      <c r="S12" s="43"/>
      <c r="T12" s="3"/>
      <c r="U12" s="53"/>
      <c r="Z12" s="56"/>
      <c r="AA12" s="3"/>
    </row>
    <row r="13" ht="30" customHeight="1" spans="1:16">
      <c r="A13" s="6" t="s">
        <v>54</v>
      </c>
      <c r="B13" s="6"/>
      <c r="C13" s="11" t="s">
        <v>34</v>
      </c>
      <c r="D13" s="11" t="s">
        <v>35</v>
      </c>
      <c r="E13" s="11" t="s">
        <v>36</v>
      </c>
      <c r="F13" s="6" t="s">
        <v>37</v>
      </c>
      <c r="G13" s="6" t="s">
        <v>38</v>
      </c>
      <c r="H13" s="6" t="s">
        <v>39</v>
      </c>
      <c r="I13" s="6" t="s">
        <v>40</v>
      </c>
      <c r="J13" s="11" t="s">
        <v>41</v>
      </c>
      <c r="K13" s="6" t="s">
        <v>42</v>
      </c>
      <c r="L13" s="6" t="s">
        <v>43</v>
      </c>
      <c r="M13" s="6" t="s">
        <v>44</v>
      </c>
      <c r="N13" s="6" t="s">
        <v>45</v>
      </c>
      <c r="O13" s="11" t="s">
        <v>46</v>
      </c>
      <c r="P13" s="33" t="s">
        <v>47</v>
      </c>
    </row>
    <row r="14" ht="24.95" customHeight="1" spans="1:22">
      <c r="A14" s="6"/>
      <c r="B14" s="6"/>
      <c r="C14" s="23">
        <v>0.0667922998020085</v>
      </c>
      <c r="D14" s="23">
        <v>0</v>
      </c>
      <c r="E14" s="23">
        <v>0.536723837694711</v>
      </c>
      <c r="F14" s="23">
        <v>0.19776782519501</v>
      </c>
      <c r="G14" s="23">
        <v>1.22133000166981</v>
      </c>
      <c r="H14" s="23">
        <v>0.737786550893347</v>
      </c>
      <c r="I14" s="23">
        <v>0.737786550893347</v>
      </c>
      <c r="J14" s="23">
        <v>0.252626219555831</v>
      </c>
      <c r="K14" s="23">
        <v>0.00491996851220152</v>
      </c>
      <c r="L14" s="23">
        <v>0.120688318503852</v>
      </c>
      <c r="M14" s="23">
        <v>0.00866510817967129</v>
      </c>
      <c r="N14" s="23">
        <v>0.0382415734357482</v>
      </c>
      <c r="O14" s="23">
        <v>0.0594436559242384</v>
      </c>
      <c r="P14" s="23">
        <v>0</v>
      </c>
      <c r="S14" s="43"/>
      <c r="V14" s="54"/>
    </row>
    <row r="15" ht="30" customHeight="1" spans="1:16">
      <c r="A15" s="6"/>
      <c r="B15" s="6"/>
      <c r="C15" s="27" t="s">
        <v>55</v>
      </c>
      <c r="D15" s="27" t="s">
        <v>56</v>
      </c>
      <c r="E15" s="27" t="s">
        <v>57</v>
      </c>
      <c r="F15" s="27" t="s">
        <v>58</v>
      </c>
      <c r="G15" s="27" t="s">
        <v>59</v>
      </c>
      <c r="H15" s="27" t="s">
        <v>60</v>
      </c>
      <c r="I15" s="27"/>
      <c r="J15" s="27"/>
      <c r="K15" s="27"/>
      <c r="L15" s="27"/>
      <c r="M15" s="37"/>
      <c r="N15" s="38"/>
      <c r="O15" s="27"/>
      <c r="P15" s="39"/>
    </row>
    <row r="16" ht="24.95" customHeight="1" spans="1:19">
      <c r="A16" s="6"/>
      <c r="B16" s="6"/>
      <c r="C16" s="11">
        <v>151.417747817323</v>
      </c>
      <c r="D16" s="11">
        <v>75.7936617387467</v>
      </c>
      <c r="E16" s="11">
        <v>0.125995100904081</v>
      </c>
      <c r="F16" s="11">
        <v>0.125547085589561</v>
      </c>
      <c r="G16" s="11">
        <v>0.205570298895542</v>
      </c>
      <c r="H16" s="11">
        <v>1.88928132678133</v>
      </c>
      <c r="I16" s="40"/>
      <c r="J16" s="40"/>
      <c r="K16" s="40"/>
      <c r="L16" s="40"/>
      <c r="M16" s="40"/>
      <c r="N16" s="40"/>
      <c r="O16" s="40"/>
      <c r="P16" s="34"/>
      <c r="S16" s="43"/>
    </row>
    <row r="17" ht="30" customHeight="1" spans="1:20">
      <c r="A17" s="28" t="s">
        <v>64</v>
      </c>
      <c r="B17" s="28"/>
      <c r="C17" s="28"/>
      <c r="D17" s="28"/>
      <c r="E17" s="28"/>
      <c r="F17" s="29"/>
      <c r="G17" s="29"/>
      <c r="H17" s="29"/>
      <c r="I17" s="29"/>
      <c r="J17" s="29"/>
      <c r="K17" s="29"/>
      <c r="L17" s="29" t="s">
        <v>62</v>
      </c>
      <c r="M17" s="29" t="s">
        <v>63</v>
      </c>
      <c r="N17" s="29"/>
      <c r="O17" s="29"/>
      <c r="P17" s="29"/>
      <c r="T17" s="46"/>
    </row>
    <row r="18" ht="30" customHeight="1" spans="20:20">
      <c r="T18" s="46"/>
    </row>
    <row r="19" spans="20:20">
      <c r="T19" s="46"/>
    </row>
    <row r="20" spans="13:20">
      <c r="M20" s="41"/>
      <c r="T20" s="46"/>
    </row>
    <row r="21" spans="20:20">
      <c r="T21" s="46"/>
    </row>
    <row r="22" spans="20:20">
      <c r="T22" s="46"/>
    </row>
    <row r="23" spans="20:20">
      <c r="T23" s="46"/>
    </row>
    <row r="24" spans="20:20">
      <c r="T24" s="46"/>
    </row>
    <row r="25" spans="20:20">
      <c r="T25" s="46"/>
    </row>
    <row r="26" spans="20:20">
      <c r="T26" s="46"/>
    </row>
    <row r="27" spans="19:27">
      <c r="S27" s="43"/>
      <c r="Z27" s="3"/>
      <c r="AA27" s="3"/>
    </row>
    <row r="28" spans="19:19">
      <c r="S28" s="43"/>
    </row>
    <row r="29" spans="20:25">
      <c r="T29" s="46"/>
      <c r="Y29" s="1"/>
    </row>
    <row r="30" spans="20:25">
      <c r="T30" s="46"/>
      <c r="Y30" s="1"/>
    </row>
    <row r="31" spans="20:25">
      <c r="T31" s="46"/>
      <c r="Y31" s="1"/>
    </row>
    <row r="32" spans="19:27">
      <c r="S32" s="43"/>
      <c r="Z32" s="3"/>
      <c r="AA32" s="3"/>
    </row>
    <row r="34" spans="19:27">
      <c r="S34" s="43"/>
      <c r="Z34" s="3"/>
      <c r="AA34" s="3"/>
    </row>
  </sheetData>
  <mergeCells count="16">
    <mergeCell ref="A1:P1"/>
    <mergeCell ref="A2:O2"/>
    <mergeCell ref="C3:P3"/>
    <mergeCell ref="C4:P4"/>
    <mergeCell ref="C5:P5"/>
    <mergeCell ref="O6:P6"/>
    <mergeCell ref="C7:D7"/>
    <mergeCell ref="E7:G7"/>
    <mergeCell ref="H7:J7"/>
    <mergeCell ref="K7:L7"/>
    <mergeCell ref="M7:P7"/>
    <mergeCell ref="A17:E17"/>
    <mergeCell ref="A3:A5"/>
    <mergeCell ref="A6:A12"/>
    <mergeCell ref="B7:B8"/>
    <mergeCell ref="A13:B16"/>
  </mergeCells>
  <printOptions horizontalCentered="1"/>
  <pageMargins left="0.354330708661417" right="0.354330708661417" top="0.590551181102362" bottom="0.590551181102362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增值税一般计税(2019年9月)</vt:lpstr>
      <vt:lpstr>增值税一般计税(2019年9月) （纯数据）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王小力</cp:lastModifiedBy>
  <dcterms:created xsi:type="dcterms:W3CDTF">2007-07-26T03:15:00Z</dcterms:created>
  <cp:lastPrinted>2019-09-23T02:18:00Z</cp:lastPrinted>
  <dcterms:modified xsi:type="dcterms:W3CDTF">2019-11-25T05:01:36Z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